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oupload\"/>
    </mc:Choice>
  </mc:AlternateContent>
  <bookViews>
    <workbookView xWindow="0" yWindow="0" windowWidth="28800" windowHeight="12300"/>
  </bookViews>
  <sheets>
    <sheet name="mill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I20" i="2" l="1"/>
  <c r="A8" i="2" l="1"/>
  <c r="A7" i="2"/>
  <c r="B7" i="2" l="1"/>
  <c r="B8" i="2" s="1"/>
  <c r="W11" i="2"/>
  <c r="D22" i="2" l="1"/>
  <c r="M3" i="2" l="1"/>
  <c r="M2" i="2" s="1"/>
  <c r="P3" i="2" s="1"/>
  <c r="M20" i="2"/>
  <c r="M32" i="2" s="1"/>
  <c r="L20" i="2"/>
  <c r="L32" i="2" s="1"/>
  <c r="J20" i="2"/>
  <c r="J32" i="2" s="1"/>
  <c r="D20" i="2"/>
  <c r="E20" i="2" s="1"/>
  <c r="L19" i="2"/>
  <c r="L31" i="2" s="1"/>
  <c r="J19" i="2"/>
  <c r="J31" i="2" s="1"/>
  <c r="D19" i="2"/>
  <c r="E19" i="2" s="1"/>
  <c r="A19" i="2"/>
  <c r="L18" i="2"/>
  <c r="L30" i="2" s="1"/>
  <c r="J18" i="2"/>
  <c r="J30" i="2" s="1"/>
  <c r="D18" i="2"/>
  <c r="E18" i="2" s="1"/>
  <c r="J17" i="2"/>
  <c r="J29" i="2" s="1"/>
  <c r="D17" i="2"/>
  <c r="E17" i="2" s="1"/>
  <c r="A17" i="2"/>
  <c r="L16" i="2"/>
  <c r="L28" i="2" s="1"/>
  <c r="D16" i="2"/>
  <c r="Q27" i="2"/>
  <c r="P27" i="2"/>
  <c r="O27" i="2"/>
  <c r="N27" i="2"/>
  <c r="M27" i="2"/>
  <c r="L27" i="2"/>
  <c r="J27" i="2"/>
  <c r="I27" i="2"/>
  <c r="H27" i="2"/>
  <c r="W12" i="2"/>
  <c r="W10" i="2"/>
  <c r="W9" i="2"/>
  <c r="W8" i="2"/>
  <c r="A18" i="2"/>
  <c r="K4" i="2"/>
  <c r="J4" i="2"/>
  <c r="I4" i="2"/>
  <c r="H4" i="2"/>
  <c r="G4" i="2"/>
  <c r="K3" i="2"/>
  <c r="J3" i="2"/>
  <c r="I3" i="2"/>
  <c r="H3" i="2"/>
  <c r="G3" i="2"/>
  <c r="K2" i="2"/>
  <c r="J2" i="2"/>
  <c r="I2" i="2"/>
  <c r="H2" i="2"/>
  <c r="G2" i="2"/>
  <c r="W16" i="2" l="1"/>
  <c r="S22" i="2" s="1"/>
  <c r="C20" i="2"/>
  <c r="C19" i="2"/>
  <c r="C18" i="2"/>
  <c r="S17" i="2"/>
  <c r="E24" i="2"/>
  <c r="D24" i="2"/>
  <c r="D27" i="2"/>
  <c r="F17" i="2"/>
  <c r="E29" i="2"/>
  <c r="F20" i="2"/>
  <c r="E32" i="2"/>
  <c r="F19" i="2"/>
  <c r="E31" i="2"/>
  <c r="A16" i="2"/>
  <c r="A20" i="2"/>
  <c r="E16" i="2"/>
  <c r="D28" i="2"/>
  <c r="F18" i="2"/>
  <c r="E30" i="2"/>
  <c r="D29" i="2"/>
  <c r="D30" i="2"/>
  <c r="D32" i="2"/>
  <c r="B15" i="2" l="1"/>
  <c r="S20" i="2"/>
  <c r="T20" i="2" s="1"/>
  <c r="S16" i="2"/>
  <c r="S18" i="2"/>
  <c r="S19" i="2"/>
  <c r="S24" i="2"/>
  <c r="F30" i="2"/>
  <c r="G18" i="2"/>
  <c r="F29" i="2"/>
  <c r="G17" i="2"/>
  <c r="F32" i="2"/>
  <c r="G20" i="2"/>
  <c r="E28" i="2"/>
  <c r="F16" i="2"/>
  <c r="F31" i="2"/>
  <c r="G19" i="2"/>
  <c r="E27" i="2"/>
  <c r="R24" i="2" l="1"/>
  <c r="U20" i="2"/>
  <c r="T19" i="2"/>
  <c r="T18" i="2" s="1"/>
  <c r="F27" i="2"/>
  <c r="G27" i="2"/>
  <c r="G29" i="2"/>
  <c r="H17" i="2"/>
  <c r="S30" i="2"/>
  <c r="R18" i="2"/>
  <c r="S27" i="2"/>
  <c r="R27" i="2"/>
  <c r="G31" i="2"/>
  <c r="H19" i="2"/>
  <c r="H20" i="2"/>
  <c r="G32" i="2"/>
  <c r="H18" i="2"/>
  <c r="G30" i="2"/>
  <c r="S28" i="2"/>
  <c r="R16" i="2"/>
  <c r="S32" i="2"/>
  <c r="T32" i="2" s="1"/>
  <c r="R20" i="2"/>
  <c r="F28" i="2"/>
  <c r="G16" i="2"/>
  <c r="R19" i="2"/>
  <c r="S29" i="2"/>
  <c r="R17" i="2"/>
  <c r="U19" i="2" l="1"/>
  <c r="U18" i="2" s="1"/>
  <c r="W20" i="2"/>
  <c r="I32" i="2"/>
  <c r="K20" i="2"/>
  <c r="H32" i="2"/>
  <c r="G28" i="2"/>
  <c r="H16" i="2"/>
  <c r="Q20" i="2"/>
  <c r="R32" i="2"/>
  <c r="H31" i="2"/>
  <c r="I19" i="2"/>
  <c r="I31" i="2" s="1"/>
  <c r="Q18" i="2"/>
  <c r="R30" i="2"/>
  <c r="Q19" i="2"/>
  <c r="R31" i="2"/>
  <c r="R28" i="2"/>
  <c r="Q16" i="2"/>
  <c r="H29" i="2"/>
  <c r="I17" i="2"/>
  <c r="I29" i="2" s="1"/>
  <c r="R29" i="2"/>
  <c r="Q17" i="2"/>
  <c r="H30" i="2"/>
  <c r="I18" i="2"/>
  <c r="I30" i="2" s="1"/>
  <c r="P16" i="2" l="1"/>
  <c r="Q28" i="2"/>
  <c r="P20" i="2"/>
  <c r="Q32" i="2"/>
  <c r="H28" i="2"/>
  <c r="I16" i="2"/>
  <c r="Q29" i="2"/>
  <c r="P17" i="2"/>
  <c r="Q30" i="2"/>
  <c r="P18" i="2"/>
  <c r="Q31" i="2"/>
  <c r="P19" i="2"/>
  <c r="O19" i="2" l="1"/>
  <c r="P31" i="2"/>
  <c r="O17" i="2"/>
  <c r="P29" i="2"/>
  <c r="O20" i="2"/>
  <c r="N20" i="2" s="1"/>
  <c r="N32" i="2" s="1"/>
  <c r="P32" i="2"/>
  <c r="O18" i="2"/>
  <c r="P30" i="2"/>
  <c r="I28" i="2"/>
  <c r="J16" i="2"/>
  <c r="J28" i="2" s="1"/>
  <c r="P28" i="2"/>
  <c r="O16" i="2"/>
  <c r="O29" i="2" l="1"/>
  <c r="N17" i="2"/>
  <c r="O28" i="2"/>
  <c r="N16" i="2"/>
  <c r="O30" i="2"/>
  <c r="N18" i="2"/>
  <c r="O32" i="2"/>
  <c r="O31" i="2"/>
  <c r="N19" i="2"/>
  <c r="N31" i="2" l="1"/>
  <c r="M19" i="2"/>
  <c r="M31" i="2" s="1"/>
  <c r="M18" i="2"/>
  <c r="M30" i="2" s="1"/>
  <c r="N30" i="2"/>
  <c r="M17" i="2"/>
  <c r="N29" i="2"/>
  <c r="N28" i="2"/>
  <c r="M16" i="2"/>
  <c r="M28" i="2" s="1"/>
  <c r="M29" i="2" l="1"/>
  <c r="L17" i="2"/>
  <c r="L29" i="2" s="1"/>
</calcChain>
</file>

<file path=xl/comments1.xml><?xml version="1.0" encoding="utf-8"?>
<comments xmlns="http://schemas.openxmlformats.org/spreadsheetml/2006/main">
  <authors>
    <author>Adema G. Gosse</author>
  </authors>
  <commentList>
    <comment ref="U32" authorId="0" shapeId="0">
      <text>
        <r>
          <rPr>
            <sz val="9"/>
            <color indexed="81"/>
            <rFont val="Tahoma"/>
            <family val="2"/>
          </rPr>
          <t>ROTATION
POSITION</t>
        </r>
      </text>
    </comment>
  </commentList>
</comments>
</file>

<file path=xl/sharedStrings.xml><?xml version="1.0" encoding="utf-8"?>
<sst xmlns="http://schemas.openxmlformats.org/spreadsheetml/2006/main" count="49" uniqueCount="27">
  <si>
    <t>mill</t>
  </si>
  <si>
    <t>inch</t>
  </si>
  <si>
    <t>X</t>
  </si>
  <si>
    <t>y</t>
  </si>
  <si>
    <t>keywidth</t>
  </si>
  <si>
    <t>left</t>
  </si>
  <si>
    <t>right</t>
  </si>
  <si>
    <t>align</t>
  </si>
  <si>
    <t>diode</t>
  </si>
  <si>
    <t>distance</t>
  </si>
  <si>
    <t>position on board</t>
  </si>
  <si>
    <t>hole</t>
  </si>
  <si>
    <t>2,25U position</t>
  </si>
  <si>
    <t>Y pos</t>
  </si>
  <si>
    <t>X pos</t>
  </si>
  <si>
    <t>mm</t>
  </si>
  <si>
    <t>dual switch</t>
  </si>
  <si>
    <t>switch</t>
  </si>
  <si>
    <t>cursor keys</t>
  </si>
  <si>
    <t>1,25</t>
  </si>
  <si>
    <t>1</t>
  </si>
  <si>
    <t>3343.75</t>
  </si>
  <si>
    <t>343.75</t>
  </si>
  <si>
    <t>1093.75</t>
  </si>
  <si>
    <t>1843.75</t>
  </si>
  <si>
    <t>2593.75</t>
  </si>
  <si>
    <t>6843.75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</si>
</sst>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5" fillId="5" borderId="0" applyNumberFormat="0" applyBorder="0" applyAlignment="0" applyProtection="0"/>
    <xf numFmtId="0" fontId="6" fillId="6" borderId="2" applyNumberFormat="0" applyAlignment="0" applyProtection="0"/>
  </cellStyleXfs>
  <cellXfs count="32">
    <xf numFmtId="0" fontId="0" fillId="0" borderId="0" xfId="0"/>
    <xf numFmtId="0" fontId="2" fillId="2" borderId="0" xfId="1"/>
    <xf numFmtId="0" fontId="0" fillId="4" borderId="1" xfId="3" applyFont="1"/>
    <xf numFmtId="0" fontId="0" fillId="0" borderId="0" xfId="0" applyAlignment="1">
      <alignment horizontal="right"/>
    </xf>
    <xf numFmtId="0" fontId="2" fillId="4" borderId="1" xfId="3" applyFont="1"/>
    <xf numFmtId="0" fontId="3" fillId="3" borderId="1" xfId="2" applyBorder="1"/>
    <xf numFmtId="0" fontId="2" fillId="2" borderId="1" xfId="1" applyBorder="1"/>
    <xf numFmtId="0" fontId="4" fillId="0" borderId="0" xfId="0" applyFont="1"/>
    <xf numFmtId="0" fontId="0" fillId="0" borderId="0" xfId="0" applyAlignment="1">
      <alignment horizontal="center"/>
    </xf>
    <xf numFmtId="0" fontId="6" fillId="6" borderId="2" xfId="5"/>
    <xf numFmtId="0" fontId="5" fillId="5" borderId="0" xfId="4"/>
    <xf numFmtId="0" fontId="5" fillId="5" borderId="1" xfId="4" applyBorder="1"/>
    <xf numFmtId="0" fontId="5" fillId="5" borderId="3" xfId="4" applyBorder="1"/>
    <xf numFmtId="0" fontId="5" fillId="5" borderId="0" xfId="4" quotePrefix="1" applyAlignment="1">
      <alignment horizontal="right"/>
    </xf>
    <xf numFmtId="0" fontId="5" fillId="5" borderId="1" xfId="4" quotePrefix="1" applyBorder="1" applyAlignment="1">
      <alignment horizontal="right"/>
    </xf>
    <xf numFmtId="0" fontId="5" fillId="5" borderId="3" xfId="4" applyBorder="1" applyAlignment="1">
      <alignment horizontal="right"/>
    </xf>
    <xf numFmtId="0" fontId="8" fillId="4" borderId="1" xfId="3" applyFont="1"/>
    <xf numFmtId="0" fontId="7" fillId="2" borderId="0" xfId="1" applyFont="1"/>
    <xf numFmtId="0" fontId="2" fillId="4" borderId="3" xfId="3" applyFont="1" applyBorder="1"/>
    <xf numFmtId="0" fontId="9" fillId="3" borderId="1" xfId="2" applyFont="1" applyBorder="1"/>
    <xf numFmtId="0" fontId="6" fillId="6" borderId="2" xfId="5" applyAlignment="1">
      <alignment horizontal="right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5" borderId="2" xfId="4" applyBorder="1"/>
  </cellXfs>
  <cellStyles count="6">
    <cellStyle name="Bad" xfId="4" builtinId="27"/>
    <cellStyle name="Good" xfId="1" builtinId="26"/>
    <cellStyle name="Input" xfId="5" builtinId="20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/>
  </sheetViews>
  <sheetFormatPr defaultRowHeight="15" x14ac:dyDescent="0.25"/>
  <sheetData>
    <row r="1" spans="1:23" x14ac:dyDescent="0.25">
      <c r="A1" t="s">
        <v>17</v>
      </c>
      <c r="G1" s="9">
        <v>1</v>
      </c>
      <c r="H1" s="9">
        <v>1.25</v>
      </c>
      <c r="I1" s="9">
        <v>1.5</v>
      </c>
      <c r="J1" s="9">
        <v>1.75</v>
      </c>
      <c r="K1" s="9">
        <v>2.25</v>
      </c>
      <c r="M1" s="22">
        <v>2.25</v>
      </c>
      <c r="N1" s="23" t="s">
        <v>9</v>
      </c>
      <c r="O1" s="23"/>
      <c r="P1" s="24" t="s">
        <v>11</v>
      </c>
    </row>
    <row r="2" spans="1:23" x14ac:dyDescent="0.25">
      <c r="A2" t="s">
        <v>9</v>
      </c>
      <c r="D2" s="5">
        <v>750</v>
      </c>
      <c r="E2" s="5" t="s">
        <v>0</v>
      </c>
      <c r="G2">
        <f>$D2*G$1</f>
        <v>750</v>
      </c>
      <c r="H2">
        <f>$D2*H$1</f>
        <v>937.5</v>
      </c>
      <c r="I2">
        <f>$D2*I$1</f>
        <v>1125</v>
      </c>
      <c r="J2">
        <f>$D2*J$1</f>
        <v>1312.5</v>
      </c>
      <c r="K2">
        <f>$D2*K$1</f>
        <v>1687.5</v>
      </c>
      <c r="M2" s="25">
        <f>M3*1000</f>
        <v>472.44094488188972</v>
      </c>
      <c r="N2" s="26" t="s">
        <v>0</v>
      </c>
      <c r="O2" s="26"/>
      <c r="P2" s="27" t="s">
        <v>9</v>
      </c>
    </row>
    <row r="3" spans="1:23" x14ac:dyDescent="0.25">
      <c r="A3">
        <v>750</v>
      </c>
      <c r="D3" s="5">
        <v>0.75</v>
      </c>
      <c r="E3" s="5" t="s">
        <v>1</v>
      </c>
      <c r="G3">
        <f t="shared" ref="G3:K4" si="0">$D3*G$1</f>
        <v>0.75</v>
      </c>
      <c r="H3">
        <f t="shared" si="0"/>
        <v>0.9375</v>
      </c>
      <c r="I3">
        <f t="shared" si="0"/>
        <v>1.125</v>
      </c>
      <c r="J3">
        <f t="shared" si="0"/>
        <v>1.3125</v>
      </c>
      <c r="K3">
        <f t="shared" si="0"/>
        <v>1.6875</v>
      </c>
      <c r="M3" s="25">
        <f>M4/2.54/10</f>
        <v>0.4724409448818897</v>
      </c>
      <c r="N3" s="26" t="s">
        <v>1</v>
      </c>
      <c r="O3" s="26"/>
      <c r="P3" s="27">
        <f>M2</f>
        <v>472.44094488188972</v>
      </c>
    </row>
    <row r="4" spans="1:23" x14ac:dyDescent="0.25">
      <c r="D4" s="5">
        <v>19.05</v>
      </c>
      <c r="E4" s="5" t="s">
        <v>15</v>
      </c>
      <c r="G4">
        <f t="shared" si="0"/>
        <v>19.05</v>
      </c>
      <c r="H4">
        <f t="shared" si="0"/>
        <v>23.8125</v>
      </c>
      <c r="I4">
        <f t="shared" si="0"/>
        <v>28.575000000000003</v>
      </c>
      <c r="J4">
        <f t="shared" si="0"/>
        <v>33.337499999999999</v>
      </c>
      <c r="K4">
        <f t="shared" si="0"/>
        <v>42.862500000000004</v>
      </c>
      <c r="M4" s="28">
        <v>12</v>
      </c>
      <c r="N4" s="29" t="s">
        <v>15</v>
      </c>
      <c r="O4" s="29"/>
      <c r="P4" s="30"/>
    </row>
    <row r="5" spans="1:23" x14ac:dyDescent="0.25">
      <c r="A5" t="s">
        <v>10</v>
      </c>
      <c r="W5" s="7" t="s">
        <v>7</v>
      </c>
    </row>
    <row r="6" spans="1:23" x14ac:dyDescent="0.25">
      <c r="A6" s="3" t="s">
        <v>2</v>
      </c>
      <c r="B6" s="3" t="s">
        <v>3</v>
      </c>
      <c r="C6" s="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W6" s="7" t="s">
        <v>4</v>
      </c>
    </row>
    <row r="7" spans="1:23" x14ac:dyDescent="0.25">
      <c r="A7">
        <f>$A$3*1.25+$A$3/8</f>
        <v>1031.25</v>
      </c>
      <c r="B7">
        <f>$A$3/8</f>
        <v>93.75</v>
      </c>
      <c r="J7" t="s">
        <v>5</v>
      </c>
      <c r="L7" t="s">
        <v>6</v>
      </c>
      <c r="W7" s="7"/>
    </row>
    <row r="8" spans="1:23" x14ac:dyDescent="0.25">
      <c r="A8">
        <f>($A$3*0.5)+$A$3/8</f>
        <v>468.75</v>
      </c>
      <c r="B8">
        <f>B7</f>
        <v>93.75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L8" s="4"/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1.5</v>
      </c>
      <c r="W8" s="7">
        <f t="shared" ref="W8:W12" si="1">SUM(L8:S8)</f>
        <v>7.5</v>
      </c>
    </row>
    <row r="9" spans="1:23" x14ac:dyDescent="0.25">
      <c r="C9" s="13" t="s">
        <v>19</v>
      </c>
      <c r="D9" s="1">
        <v>1.5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/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W9" s="7">
        <f t="shared" si="1"/>
        <v>8</v>
      </c>
    </row>
    <row r="10" spans="1:23" x14ac:dyDescent="0.25">
      <c r="C10" s="13" t="s">
        <v>19</v>
      </c>
      <c r="D10" s="1">
        <v>1.75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/>
      <c r="L10" s="4"/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1.75</v>
      </c>
      <c r="T10" s="14" t="s">
        <v>20</v>
      </c>
      <c r="U10" s="14" t="s">
        <v>20</v>
      </c>
      <c r="W10" s="7">
        <f t="shared" si="1"/>
        <v>7.75</v>
      </c>
    </row>
    <row r="11" spans="1:23" x14ac:dyDescent="0.25">
      <c r="C11" s="13" t="s">
        <v>19</v>
      </c>
      <c r="D11" s="1">
        <v>2.25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/>
      <c r="L11" s="4"/>
      <c r="M11" s="4"/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2.25</v>
      </c>
      <c r="T11" s="14" t="s">
        <v>20</v>
      </c>
      <c r="U11" s="14" t="s">
        <v>20</v>
      </c>
      <c r="W11" s="7">
        <f>SUM(L11:U11)</f>
        <v>7.25</v>
      </c>
    </row>
    <row r="12" spans="1:23" x14ac:dyDescent="0.25">
      <c r="C12" s="13" t="s">
        <v>19</v>
      </c>
      <c r="D12" s="1">
        <v>1.25</v>
      </c>
      <c r="E12" s="1">
        <v>1.25</v>
      </c>
      <c r="F12" s="1">
        <v>1.25</v>
      </c>
      <c r="G12" s="1">
        <v>1.25</v>
      </c>
      <c r="H12" s="1">
        <v>1.75</v>
      </c>
      <c r="I12" s="1"/>
      <c r="J12" s="1"/>
      <c r="L12" s="4"/>
      <c r="M12" s="4"/>
      <c r="N12" s="4">
        <v>1.75</v>
      </c>
      <c r="O12" s="4">
        <v>1.25</v>
      </c>
      <c r="P12" s="4">
        <v>1.25</v>
      </c>
      <c r="Q12" s="4">
        <v>1.25</v>
      </c>
      <c r="R12" s="19">
        <v>1.25</v>
      </c>
      <c r="S12" s="11">
        <v>1</v>
      </c>
      <c r="T12" s="14" t="s">
        <v>20</v>
      </c>
      <c r="U12" s="14" t="s">
        <v>20</v>
      </c>
      <c r="W12" s="7">
        <f t="shared" si="1"/>
        <v>7.75</v>
      </c>
    </row>
    <row r="13" spans="1:23" x14ac:dyDescent="0.25">
      <c r="T13" t="s">
        <v>18</v>
      </c>
    </row>
    <row r="15" spans="1:23" x14ac:dyDescent="0.25">
      <c r="A15" t="s">
        <v>13</v>
      </c>
      <c r="B15">
        <f>A20+A16</f>
        <v>3937.5</v>
      </c>
      <c r="D15" t="s">
        <v>14</v>
      </c>
      <c r="J15" t="s">
        <v>17</v>
      </c>
      <c r="L15" t="s">
        <v>17</v>
      </c>
      <c r="S15" t="s">
        <v>14</v>
      </c>
    </row>
    <row r="16" spans="1:23" x14ac:dyDescent="0.25">
      <c r="A16" s="10">
        <f>$B$7+$A$3*4+$A$3/2</f>
        <v>3468.75</v>
      </c>
      <c r="D16" s="1">
        <f>IF(ISNUMBER(D8),$A$7+D8*$A$3/2,"")</f>
        <v>1406.25</v>
      </c>
      <c r="E16" s="1">
        <f t="shared" ref="E16:J20" si="2">IF(ISNUMBER(E8),D16+D8*$A$3/2+E8*$A$3/2,"")</f>
        <v>2156.25</v>
      </c>
      <c r="F16" s="1">
        <f t="shared" si="2"/>
        <v>2906.25</v>
      </c>
      <c r="G16" s="1">
        <f t="shared" si="2"/>
        <v>3656.25</v>
      </c>
      <c r="H16" s="1">
        <f t="shared" si="2"/>
        <v>4406.25</v>
      </c>
      <c r="I16" s="1">
        <f t="shared" si="2"/>
        <v>5156.25</v>
      </c>
      <c r="J16" s="1">
        <f t="shared" si="2"/>
        <v>5906.25</v>
      </c>
      <c r="L16" s="2" t="str">
        <f t="shared" ref="L16:R20" si="3">IF(ISNUMBER(L8),M16-M8*$A$3/2-L8*$A$3/2,"")</f>
        <v/>
      </c>
      <c r="M16" s="2">
        <f t="shared" si="3"/>
        <v>843.75</v>
      </c>
      <c r="N16" s="2">
        <f t="shared" si="3"/>
        <v>1593.75</v>
      </c>
      <c r="O16" s="2">
        <f t="shared" si="3"/>
        <v>2343.75</v>
      </c>
      <c r="P16" s="2">
        <f t="shared" si="3"/>
        <v>3093.75</v>
      </c>
      <c r="Q16" s="2">
        <f t="shared" si="3"/>
        <v>3843.75</v>
      </c>
      <c r="R16" s="2">
        <f t="shared" si="3"/>
        <v>4593.75</v>
      </c>
      <c r="S16" s="2">
        <f>IF(ISNUMBER(S8),$W$16+$A$8-(S8*$A$3/2),"")</f>
        <v>5531.25</v>
      </c>
      <c r="W16" s="7">
        <f>(MAX(W8:W12)-0.5)*$A$3</f>
        <v>5625</v>
      </c>
    </row>
    <row r="17" spans="1:23" x14ac:dyDescent="0.25">
      <c r="A17" s="10">
        <f>$B$7+$A$3*3+$A$3/2</f>
        <v>2718.75</v>
      </c>
      <c r="C17" s="10">
        <f>D16-(0.5*A3)-(0.5*1.25*A3)</f>
        <v>562.5</v>
      </c>
      <c r="D17" s="1">
        <f>IF(ISNUMBER(D9),$A$7+D9*$A$3/2,"")</f>
        <v>1593.75</v>
      </c>
      <c r="E17" s="1">
        <f t="shared" si="2"/>
        <v>2531.25</v>
      </c>
      <c r="F17" s="1">
        <f t="shared" si="2"/>
        <v>3281.25</v>
      </c>
      <c r="G17" s="1">
        <f t="shared" si="2"/>
        <v>4031.25</v>
      </c>
      <c r="H17" s="1">
        <f t="shared" si="2"/>
        <v>4781.25</v>
      </c>
      <c r="I17" s="1">
        <f t="shared" si="2"/>
        <v>5531.25</v>
      </c>
      <c r="J17" s="1" t="str">
        <f t="shared" si="2"/>
        <v/>
      </c>
      <c r="L17" s="2">
        <f t="shared" si="3"/>
        <v>468.75</v>
      </c>
      <c r="M17" s="2">
        <f t="shared" si="3"/>
        <v>1218.75</v>
      </c>
      <c r="N17" s="2">
        <f t="shared" si="3"/>
        <v>1968.75</v>
      </c>
      <c r="O17" s="2">
        <f t="shared" si="3"/>
        <v>2718.75</v>
      </c>
      <c r="P17" s="2">
        <f t="shared" si="3"/>
        <v>3468.75</v>
      </c>
      <c r="Q17" s="2">
        <f t="shared" si="3"/>
        <v>4218.75</v>
      </c>
      <c r="R17" s="2">
        <f t="shared" si="3"/>
        <v>4968.75</v>
      </c>
      <c r="S17" s="2">
        <f>IF(ISNUMBER(S9),$W$16+$A$8-(S9*$A$3/2),"")</f>
        <v>5718.75</v>
      </c>
    </row>
    <row r="18" spans="1:23" x14ac:dyDescent="0.25">
      <c r="A18" s="10">
        <f>$B$7+$A$3*2+$A$3/2</f>
        <v>1968.75</v>
      </c>
      <c r="C18" s="10">
        <f>C17</f>
        <v>562.5</v>
      </c>
      <c r="D18" s="1">
        <f>IF(ISNUMBER(D10),$A$7+D10*$A$3/2,"")</f>
        <v>1687.5</v>
      </c>
      <c r="E18" s="1">
        <f t="shared" si="2"/>
        <v>2718.75</v>
      </c>
      <c r="F18" s="1">
        <f t="shared" si="2"/>
        <v>3468.75</v>
      </c>
      <c r="G18" s="1">
        <f t="shared" si="2"/>
        <v>4218.75</v>
      </c>
      <c r="H18" s="1">
        <f t="shared" si="2"/>
        <v>4968.75</v>
      </c>
      <c r="I18" s="1">
        <f t="shared" si="2"/>
        <v>5718.75</v>
      </c>
      <c r="J18" s="1" t="str">
        <f t="shared" si="2"/>
        <v/>
      </c>
      <c r="L18" s="2" t="str">
        <f t="shared" si="3"/>
        <v/>
      </c>
      <c r="M18" s="2">
        <f t="shared" si="3"/>
        <v>656.25</v>
      </c>
      <c r="N18" s="2">
        <f t="shared" si="3"/>
        <v>1406.25</v>
      </c>
      <c r="O18" s="2">
        <f t="shared" si="3"/>
        <v>2156.25</v>
      </c>
      <c r="P18" s="2">
        <f t="shared" si="3"/>
        <v>2906.25</v>
      </c>
      <c r="Q18" s="2">
        <f t="shared" si="3"/>
        <v>3656.25</v>
      </c>
      <c r="R18" s="2">
        <f t="shared" si="3"/>
        <v>4406.25</v>
      </c>
      <c r="S18" s="2">
        <f>IF(ISNUMBER(S10),$W$16+$A$8-(S10*$A$3/2),"")</f>
        <v>5437.5</v>
      </c>
      <c r="T18" s="15">
        <f>T19</f>
        <v>6468.75</v>
      </c>
      <c r="U18" s="15">
        <f>U19</f>
        <v>7218.75</v>
      </c>
    </row>
    <row r="19" spans="1:23" x14ac:dyDescent="0.25">
      <c r="A19" s="10">
        <f>$B$7+$A$3*1+$A$3/2</f>
        <v>1218.75</v>
      </c>
      <c r="C19" s="10">
        <f>C17</f>
        <v>562.5</v>
      </c>
      <c r="D19" s="17">
        <f>IF(ISNUMBER(D11),$A$7+D11*$A$3/2,"")</f>
        <v>1875</v>
      </c>
      <c r="E19" s="1">
        <f t="shared" si="2"/>
        <v>3093.75</v>
      </c>
      <c r="F19" s="1">
        <f t="shared" si="2"/>
        <v>3843.75</v>
      </c>
      <c r="G19" s="1">
        <f t="shared" si="2"/>
        <v>4593.75</v>
      </c>
      <c r="H19" s="1">
        <f t="shared" si="2"/>
        <v>5343.75</v>
      </c>
      <c r="I19" s="1">
        <f t="shared" si="2"/>
        <v>6093.75</v>
      </c>
      <c r="J19" s="1" t="str">
        <f t="shared" si="2"/>
        <v/>
      </c>
      <c r="L19" s="2" t="str">
        <f t="shared" si="3"/>
        <v/>
      </c>
      <c r="M19" s="2" t="str">
        <f t="shared" si="3"/>
        <v/>
      </c>
      <c r="N19" s="2">
        <f t="shared" si="3"/>
        <v>1031.25</v>
      </c>
      <c r="O19" s="2">
        <f t="shared" si="3"/>
        <v>1781.25</v>
      </c>
      <c r="P19" s="2">
        <f t="shared" si="3"/>
        <v>2531.25</v>
      </c>
      <c r="Q19" s="2">
        <f t="shared" si="3"/>
        <v>3281.25</v>
      </c>
      <c r="R19" s="2">
        <f t="shared" si="3"/>
        <v>4031.25</v>
      </c>
      <c r="S19" s="16">
        <f>IF(ISNUMBER(S11),$W$16+$A$8-(S11*$A$3/2),"")</f>
        <v>5250</v>
      </c>
      <c r="T19" s="12">
        <f>T20</f>
        <v>6468.75</v>
      </c>
      <c r="U19" s="11">
        <f>U20</f>
        <v>7218.75</v>
      </c>
    </row>
    <row r="20" spans="1:23" x14ac:dyDescent="0.25">
      <c r="A20" s="10">
        <f>$B$7+$A$3*0+$A$3/2</f>
        <v>468.75</v>
      </c>
      <c r="C20" s="10">
        <f>C17</f>
        <v>562.5</v>
      </c>
      <c r="D20" s="1">
        <f>IF(ISNUMBER(D12),$A$7+D12*$A$3/2,"")</f>
        <v>1500</v>
      </c>
      <c r="E20" s="1">
        <f t="shared" si="2"/>
        <v>2437.5</v>
      </c>
      <c r="F20" s="1">
        <f t="shared" si="2"/>
        <v>3375</v>
      </c>
      <c r="G20" s="1">
        <f t="shared" si="2"/>
        <v>4312.5</v>
      </c>
      <c r="H20" s="1">
        <f t="shared" si="2"/>
        <v>5437.5</v>
      </c>
      <c r="I20" s="1" t="str">
        <f t="shared" si="2"/>
        <v/>
      </c>
      <c r="J20" s="1" t="str">
        <f t="shared" si="2"/>
        <v/>
      </c>
      <c r="K20" s="7" t="e">
        <f>I20+B8+0.5*$A$3</f>
        <v>#VALUE!</v>
      </c>
      <c r="L20" s="2" t="str">
        <f t="shared" si="3"/>
        <v/>
      </c>
      <c r="M20" s="2" t="str">
        <f t="shared" si="3"/>
        <v/>
      </c>
      <c r="N20" s="2">
        <f t="shared" si="3"/>
        <v>937.5</v>
      </c>
      <c r="O20" s="2">
        <f t="shared" si="3"/>
        <v>2062.5</v>
      </c>
      <c r="P20" s="2">
        <f t="shared" si="3"/>
        <v>3000</v>
      </c>
      <c r="Q20" s="2">
        <f t="shared" si="3"/>
        <v>3937.5</v>
      </c>
      <c r="R20" s="19">
        <f t="shared" si="3"/>
        <v>4875</v>
      </c>
      <c r="S20" s="11">
        <f>IF(ISNUMBER(S12),$W$16+$A$8-(S12*$A$3/2),"")</f>
        <v>5718.75</v>
      </c>
      <c r="T20" s="12">
        <f>S20+$A$3</f>
        <v>6468.75</v>
      </c>
      <c r="U20" s="12">
        <f>T20+$A$3</f>
        <v>7218.75</v>
      </c>
      <c r="W20" s="7">
        <f>U20+B7+0.5*$A$3</f>
        <v>7687.5</v>
      </c>
    </row>
    <row r="21" spans="1:23" x14ac:dyDescent="0.25">
      <c r="T21" t="s">
        <v>18</v>
      </c>
    </row>
    <row r="22" spans="1:23" x14ac:dyDescent="0.25">
      <c r="D22" s="7">
        <f>$A$7+2.25*$A$3/2</f>
        <v>1875</v>
      </c>
      <c r="S22" s="7">
        <f>$W$16+$A$8-(2.25*$A$3/2)</f>
        <v>5250</v>
      </c>
    </row>
    <row r="23" spans="1:23" x14ac:dyDescent="0.25">
      <c r="A23" t="s">
        <v>12</v>
      </c>
      <c r="D23" t="s">
        <v>5</v>
      </c>
      <c r="E23" t="s">
        <v>6</v>
      </c>
      <c r="R23" t="s">
        <v>5</v>
      </c>
      <c r="S23" t="s">
        <v>6</v>
      </c>
    </row>
    <row r="24" spans="1:23" x14ac:dyDescent="0.25">
      <c r="A24" t="s">
        <v>16</v>
      </c>
      <c r="D24" s="6">
        <f>D22-P3</f>
        <v>1402.5590551181103</v>
      </c>
      <c r="E24" s="6">
        <f>D22+$P$3</f>
        <v>2347.4409448818897</v>
      </c>
      <c r="R24" s="2">
        <f>S22-P3</f>
        <v>4777.5590551181103</v>
      </c>
      <c r="S24" s="2">
        <f>S22+$P$3</f>
        <v>5722.4409448818897</v>
      </c>
    </row>
    <row r="26" spans="1:23" x14ac:dyDescent="0.25">
      <c r="J26" t="s">
        <v>8</v>
      </c>
      <c r="L26" t="s">
        <v>8</v>
      </c>
    </row>
    <row r="27" spans="1:23" x14ac:dyDescent="0.25">
      <c r="D27" s="1" t="str">
        <f>IF(ISNUMBER(#REF!),#REF!-$A$3/2,"")</f>
        <v/>
      </c>
      <c r="E27" s="1" t="str">
        <f>IF(ISNUMBER(#REF!),#REF!-$A$3/2,"")</f>
        <v/>
      </c>
      <c r="F27" s="1" t="str">
        <f>IF(ISNUMBER(#REF!),#REF!-$A$3/2,"")</f>
        <v/>
      </c>
      <c r="G27" s="1" t="str">
        <f>IF(ISNUMBER(#REF!),#REF!-$A$3/2,"")</f>
        <v/>
      </c>
      <c r="H27" s="1" t="str">
        <f>IF(ISNUMBER(#REF!),#REF!-$A$3/2,"")</f>
        <v/>
      </c>
      <c r="I27" s="1" t="str">
        <f>IF(ISNUMBER(#REF!),#REF!-$A$3/2,"")</f>
        <v/>
      </c>
      <c r="J27" s="1" t="str">
        <f>IF(ISNUMBER(#REF!),#REF!-$A$3/2,"")</f>
        <v/>
      </c>
      <c r="L27" s="4" t="str">
        <f>IF(ISNUMBER(#REF!),#REF!+$A$3/2,"")</f>
        <v/>
      </c>
      <c r="M27" s="4" t="str">
        <f>IF(ISNUMBER(#REF!),#REF!+$A$3/2,"")</f>
        <v/>
      </c>
      <c r="N27" s="4" t="str">
        <f>IF(ISNUMBER(#REF!),#REF!+$A$3/2,"")</f>
        <v/>
      </c>
      <c r="O27" s="4" t="str">
        <f>IF(ISNUMBER(#REF!),#REF!+$A$3/2,"")</f>
        <v/>
      </c>
      <c r="P27" s="4" t="str">
        <f>IF(ISNUMBER(#REF!),#REF!+$A$3/2,"")</f>
        <v/>
      </c>
      <c r="Q27" s="4" t="str">
        <f>IF(ISNUMBER(#REF!),#REF!+$A$3/2,"")</f>
        <v/>
      </c>
      <c r="R27" s="4" t="str">
        <f>IF(ISNUMBER(#REF!),#REF!+$A$3/2,"")</f>
        <v/>
      </c>
      <c r="S27" s="4" t="str">
        <f>IF(ISNUMBER(#REF!),#REF!+$A$3/2,"")</f>
        <v/>
      </c>
    </row>
    <row r="28" spans="1:23" x14ac:dyDescent="0.25">
      <c r="A28" t="s">
        <v>21</v>
      </c>
      <c r="C28" s="1"/>
      <c r="D28" s="1">
        <f t="shared" ref="D28:J32" si="4">IF(ISNUMBER(D16),D16-$A$3/2,"")</f>
        <v>1031.25</v>
      </c>
      <c r="E28" s="1">
        <f t="shared" si="4"/>
        <v>1781.25</v>
      </c>
      <c r="F28" s="1">
        <f t="shared" si="4"/>
        <v>2531.25</v>
      </c>
      <c r="G28" s="1">
        <f t="shared" si="4"/>
        <v>3281.25</v>
      </c>
      <c r="H28" s="1">
        <f t="shared" si="4"/>
        <v>4031.25</v>
      </c>
      <c r="I28" s="1">
        <f t="shared" si="4"/>
        <v>4781.25</v>
      </c>
      <c r="J28" s="1">
        <f t="shared" si="4"/>
        <v>5531.25</v>
      </c>
      <c r="L28" s="4" t="str">
        <f t="shared" ref="L28:S32" si="5">IF(ISNUMBER(L16),L16+$A$3/2,"")</f>
        <v/>
      </c>
      <c r="M28" s="4">
        <f t="shared" si="5"/>
        <v>1218.75</v>
      </c>
      <c r="N28" s="4">
        <f t="shared" si="5"/>
        <v>1968.75</v>
      </c>
      <c r="O28" s="4">
        <f t="shared" si="5"/>
        <v>2718.75</v>
      </c>
      <c r="P28" s="4">
        <f t="shared" si="5"/>
        <v>3468.75</v>
      </c>
      <c r="Q28" s="4">
        <f t="shared" si="5"/>
        <v>4218.75</v>
      </c>
      <c r="R28" s="4">
        <f t="shared" si="5"/>
        <v>4968.75</v>
      </c>
      <c r="S28" s="4">
        <f t="shared" si="5"/>
        <v>5906.25</v>
      </c>
    </row>
    <row r="29" spans="1:23" x14ac:dyDescent="0.25">
      <c r="A29" t="s">
        <v>25</v>
      </c>
      <c r="C29" s="9">
        <v>937.5</v>
      </c>
      <c r="D29" s="1">
        <f t="shared" si="4"/>
        <v>1218.75</v>
      </c>
      <c r="E29" s="1">
        <f t="shared" si="4"/>
        <v>2156.25</v>
      </c>
      <c r="F29" s="1">
        <f t="shared" si="4"/>
        <v>2906.25</v>
      </c>
      <c r="G29" s="1">
        <f t="shared" si="4"/>
        <v>3656.25</v>
      </c>
      <c r="H29" s="1">
        <f t="shared" si="4"/>
        <v>4406.25</v>
      </c>
      <c r="I29" s="1">
        <f t="shared" si="4"/>
        <v>5156.25</v>
      </c>
      <c r="J29" s="1" t="str">
        <f t="shared" si="4"/>
        <v/>
      </c>
      <c r="L29" s="4">
        <f t="shared" si="5"/>
        <v>843.75</v>
      </c>
      <c r="M29" s="4">
        <f t="shared" si="5"/>
        <v>1593.75</v>
      </c>
      <c r="N29" s="4">
        <f t="shared" si="5"/>
        <v>2343.75</v>
      </c>
      <c r="O29" s="4">
        <f t="shared" si="5"/>
        <v>3093.75</v>
      </c>
      <c r="P29" s="4">
        <f t="shared" si="5"/>
        <v>3843.75</v>
      </c>
      <c r="Q29" s="4">
        <f t="shared" si="5"/>
        <v>4593.75</v>
      </c>
      <c r="R29" s="4">
        <f t="shared" si="5"/>
        <v>5343.75</v>
      </c>
      <c r="S29" s="4">
        <f t="shared" si="5"/>
        <v>6093.75</v>
      </c>
    </row>
    <row r="30" spans="1:23" x14ac:dyDescent="0.25">
      <c r="A30" t="s">
        <v>24</v>
      </c>
      <c r="C30" s="9">
        <v>937.5</v>
      </c>
      <c r="D30" s="1">
        <f t="shared" si="4"/>
        <v>1312.5</v>
      </c>
      <c r="E30" s="1">
        <f t="shared" si="4"/>
        <v>2343.75</v>
      </c>
      <c r="F30" s="1">
        <f t="shared" si="4"/>
        <v>3093.75</v>
      </c>
      <c r="G30" s="1">
        <f t="shared" si="4"/>
        <v>3843.75</v>
      </c>
      <c r="H30" s="1">
        <f t="shared" si="4"/>
        <v>4593.75</v>
      </c>
      <c r="I30" s="1">
        <f t="shared" si="4"/>
        <v>5343.75</v>
      </c>
      <c r="J30" s="1" t="str">
        <f t="shared" si="4"/>
        <v/>
      </c>
      <c r="L30" s="4" t="str">
        <f t="shared" si="5"/>
        <v/>
      </c>
      <c r="M30" s="4">
        <f t="shared" si="5"/>
        <v>1031.25</v>
      </c>
      <c r="N30" s="4">
        <f t="shared" si="5"/>
        <v>1781.25</v>
      </c>
      <c r="O30" s="4">
        <f t="shared" si="5"/>
        <v>2531.25</v>
      </c>
      <c r="P30" s="4">
        <f t="shared" si="5"/>
        <v>3281.25</v>
      </c>
      <c r="Q30" s="4">
        <f t="shared" si="5"/>
        <v>4031.25</v>
      </c>
      <c r="R30" s="4">
        <f t="shared" si="5"/>
        <v>4781.25</v>
      </c>
      <c r="S30" s="4">
        <f t="shared" si="5"/>
        <v>5812.5</v>
      </c>
      <c r="T30" s="20">
        <v>6093.75</v>
      </c>
      <c r="U30" s="20" t="s">
        <v>26</v>
      </c>
    </row>
    <row r="31" spans="1:23" x14ac:dyDescent="0.25">
      <c r="A31" t="s">
        <v>23</v>
      </c>
      <c r="C31" s="9">
        <v>937.5</v>
      </c>
      <c r="D31" s="9">
        <v>1972.44094</v>
      </c>
      <c r="E31" s="1">
        <f t="shared" si="4"/>
        <v>2718.75</v>
      </c>
      <c r="F31" s="1">
        <f t="shared" si="4"/>
        <v>3468.75</v>
      </c>
      <c r="G31" s="1">
        <f t="shared" si="4"/>
        <v>4218.75</v>
      </c>
      <c r="H31" s="1">
        <f t="shared" si="4"/>
        <v>4968.75</v>
      </c>
      <c r="I31" s="1">
        <f t="shared" si="4"/>
        <v>5718.75</v>
      </c>
      <c r="J31" s="1" t="str">
        <f t="shared" si="4"/>
        <v/>
      </c>
      <c r="L31" s="4" t="str">
        <f t="shared" si="5"/>
        <v/>
      </c>
      <c r="M31" s="4" t="str">
        <f t="shared" si="5"/>
        <v/>
      </c>
      <c r="N31" s="4">
        <f t="shared" si="5"/>
        <v>1406.25</v>
      </c>
      <c r="O31" s="4">
        <f t="shared" si="5"/>
        <v>2156.25</v>
      </c>
      <c r="P31" s="4">
        <f t="shared" si="5"/>
        <v>2906.25</v>
      </c>
      <c r="Q31" s="4">
        <f t="shared" si="5"/>
        <v>3656.25</v>
      </c>
      <c r="R31" s="4">
        <f t="shared" si="5"/>
        <v>4406.25</v>
      </c>
      <c r="S31" s="9">
        <v>5347.4409400000004</v>
      </c>
      <c r="T31" s="9">
        <v>6097.4409400000004</v>
      </c>
      <c r="U31" s="9">
        <v>6843.75</v>
      </c>
    </row>
    <row r="32" spans="1:23" x14ac:dyDescent="0.25">
      <c r="A32" t="s">
        <v>22</v>
      </c>
      <c r="B32" s="21">
        <v>843.75</v>
      </c>
      <c r="C32" s="31">
        <v>562.5</v>
      </c>
      <c r="D32" s="1">
        <f t="shared" si="4"/>
        <v>1125</v>
      </c>
      <c r="E32" s="1">
        <f t="shared" si="4"/>
        <v>2062.5</v>
      </c>
      <c r="F32" s="1">
        <f t="shared" si="4"/>
        <v>3000</v>
      </c>
      <c r="G32" s="1">
        <f t="shared" si="4"/>
        <v>3937.5</v>
      </c>
      <c r="H32" s="1">
        <f t="shared" si="4"/>
        <v>5062.5</v>
      </c>
      <c r="I32" s="1" t="str">
        <f t="shared" si="4"/>
        <v/>
      </c>
      <c r="J32" s="1" t="str">
        <f t="shared" si="4"/>
        <v/>
      </c>
      <c r="L32" s="4" t="str">
        <f t="shared" si="5"/>
        <v/>
      </c>
      <c r="M32" s="4" t="str">
        <f t="shared" si="5"/>
        <v/>
      </c>
      <c r="N32" s="4">
        <f t="shared" si="5"/>
        <v>1312.5</v>
      </c>
      <c r="O32" s="4">
        <f t="shared" si="5"/>
        <v>2437.5</v>
      </c>
      <c r="P32" s="4">
        <f t="shared" si="5"/>
        <v>3375</v>
      </c>
      <c r="Q32" s="4">
        <f t="shared" si="5"/>
        <v>4312.5</v>
      </c>
      <c r="R32" s="4">
        <f t="shared" si="5"/>
        <v>5250</v>
      </c>
      <c r="S32" s="4">
        <f>IF(ISNUMBER(S20),S20+$A$3/2,"")</f>
        <v>6093.75</v>
      </c>
      <c r="T32" s="18">
        <f>S32+$A$3</f>
        <v>6843.75</v>
      </c>
      <c r="U32" s="12">
        <v>7218.75</v>
      </c>
      <c r="V32" s="21">
        <v>468.75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PiBoard</dc:title>
  <dc:creator>Adema G. Gosse</dc:creator>
  <cp:lastModifiedBy>Adema G. Gosse</cp:lastModifiedBy>
  <cp:lastPrinted>2019-01-24T06:23:37Z</cp:lastPrinted>
  <dcterms:created xsi:type="dcterms:W3CDTF">2019-01-24T06:23:31Z</dcterms:created>
  <dcterms:modified xsi:type="dcterms:W3CDTF">2019-03-22T09:29:05Z</dcterms:modified>
</cp:coreProperties>
</file>